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EnDaNet\05 Netznutzungsmanagement\_Gas\Itzehoe\Auswertungen\"/>
    </mc:Choice>
  </mc:AlternateContent>
  <bookViews>
    <workbookView xWindow="0" yWindow="0" windowWidth="21570" windowHeight="1156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5" l="1"/>
  <c r="E4" i="17" l="1"/>
  <c r="E6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S12" i="7"/>
  <c r="T12" i="7"/>
  <c r="U12" i="7"/>
  <c r="V12" i="7"/>
  <c r="W12" i="7"/>
  <c r="R12" i="7"/>
  <c r="X12" i="7" l="1"/>
  <c r="X13" i="7"/>
  <c r="X11" i="7"/>
  <c r="X20" i="7"/>
  <c r="X19" i="7"/>
  <c r="X16" i="7"/>
  <c r="X15" i="7"/>
  <c r="X17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O12" i="7"/>
  <c r="P11" i="7"/>
  <c r="N13" i="7"/>
  <c r="I14" i="7"/>
  <c r="H15" i="7"/>
  <c r="P15" i="7"/>
  <c r="O16" i="7"/>
  <c r="N17" i="7"/>
  <c r="M18" i="7"/>
  <c r="L19" i="7"/>
  <c r="K20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K12" i="7"/>
  <c r="K11" i="7"/>
  <c r="J13" i="7"/>
  <c r="M14" i="7"/>
  <c r="L15" i="7"/>
  <c r="K16" i="7"/>
  <c r="J17" i="7"/>
  <c r="I18" i="7"/>
  <c r="H19" i="7"/>
  <c r="P19" i="7"/>
  <c r="O20" i="7"/>
  <c r="L12" i="7"/>
  <c r="H12" i="7"/>
  <c r="I11" i="7"/>
  <c r="F19" i="7"/>
  <c r="F17" i="7"/>
  <c r="F15" i="7"/>
  <c r="F12" i="7"/>
  <c r="F20" i="7"/>
  <c r="F18" i="7"/>
  <c r="F16" i="7"/>
  <c r="F14" i="7"/>
  <c r="F13" i="7"/>
  <c r="F11" i="7"/>
  <c r="M8" i="4"/>
  <c r="M7" i="4"/>
  <c r="C5" i="1"/>
  <c r="D6" i="7"/>
  <c r="Q18" i="7" l="1"/>
  <c r="Q13" i="7"/>
  <c r="Q15" i="7"/>
  <c r="Q11" i="7"/>
  <c r="Q20" i="7"/>
  <c r="Q12" i="7"/>
  <c r="Q16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<sst xmlns="http://schemas.openxmlformats.org/spreadsheetml/2006/main" count="1388" uniqueCount="675">
  <si>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</si>
  <si>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</si>
  <si>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</si>
  <si>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</si>
  <si>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</si>
  <si>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</si>
  <si>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</si>
  <si>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</si>
  <si>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</si>
  <si>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</si>
  <si>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</si>
  <si>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</si>
  <si>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</si>
  <si>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</si>
  <si>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</si>
  <si>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</si>
  <si>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</si>
  <si>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</si>
  <si>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</si>
  <si>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</si>
  <si>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</si>
  <si>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</si>
  <si>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</si>
  <si>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</si>
  <si>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</si>
  <si>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</si>
  <si>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</si>
  <si>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</si>
  <si>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</si>
  <si>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</si>
  <si>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</si>
  <si>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</si>
  <si>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</si>
  <si>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</si>
  <si>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</si>
  <si>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</si>
  <si>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</si>
  <si>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</si>
  <si>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</si>
  <si>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</si>
  <si>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</si>
  <si>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</si>
  <si>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</si>
  <si>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</si>
  <si>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</si>
  <si>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</si>
  <si>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</si>
  <si>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</si>
  <si>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</si>
  <si>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</si>
  <si>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</si>
  <si>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</si>
  <si>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</si>
  <si>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</si>
  <si>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</si>
  <si>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</si>
  <si>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</si>
  <si>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</si>
  <si>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</si>
  <si>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</si>
  <si>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</si>
  <si>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</si>
  <si>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</si>
  <si>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</si>
  <si>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</si>
  <si>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</si>
  <si>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</si>
  <si>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</si>
  <si>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</si>
  <si>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</si>
  <si>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</si>
  <si>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</si>
  <si>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</si>
  <si>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</si>
  <si>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</si>
  <si>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</si>
  <si>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</si>
  <si>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</si>
  <si>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</si>
  <si>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</si>
  <si>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</si>
  <si>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</si>
  <si>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</si>
  <si>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</si>
  <si>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</si>
  <si>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</si>
  <si>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</si>
  <si>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</si>
  <si>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</si>
  <si>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</si>
  <si>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</si>
  <si>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</si>
  <si>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</si>
  <si>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</si>
  <si>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</si>
  <si>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</si>
  <si>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</si>
  <si>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</si>
  <si>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</si>
  <si>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</si>
  <si>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</si>
  <si>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</si>
  <si>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</si>
  <si>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</si>
  <si>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</si>
  <si>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</si>
  <si>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</si>
  <si>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</si>
  <si>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</si>
  <si>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</si>
  <si>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</si>
  <si>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</si>
  <si>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</si>
  <si>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</si>
  <si>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</si>
  <si>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</si>
  <si>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</si>
  <si>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</si>
  <si>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</si>
  <si>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</si>
  <si>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</si>
  <si>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</si>
  <si>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</si>
  <si>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</si>
  <si>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</si>
  <si>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</si>
  <si>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</si>
  <si>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</si>
  <si>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</si>
  <si>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</si>
  <si>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</si>
  <si>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</si>
  <si>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</si>
  <si>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</si>
  <si>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</si>
  <si>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</si>
  <si>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</si>
  <si>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</si>
  <si>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</si>
  <si>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</si>
  <si>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</si>
  <si>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</si>
  <si>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</si>
  <si>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</si>
  <si>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</si>
  <si>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</si>
  <si>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</si>
  <si>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</si>
  <si>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</si>
  <si>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</si>
  <si>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</si>
  <si>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</si>
  <si>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</si>
  <si>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</si>
  <si>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</si>
  <si>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</si>
  <si>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</si>
  <si>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</si>
  <si>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</si>
  <si>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</si>
  <si>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</si>
  <si>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</si>
  <si>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</si>
  <si>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</si>
  <si>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</si>
  <si>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</si>
  <si>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</si>
  <si>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</si>
  <si>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</si>
  <si>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</si>
  <si>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</si>
  <si>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</si>
  <si>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</si>
  <si>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</si>
  <si>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</si>
  <si>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</si>
  <si>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</si>
  <si>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</si>
  <si>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</si>
  <si>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</si>
  <si>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</si>
  <si>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</si>
  <si>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</si>
  <si>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</si>
  <si>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</si>
  <si>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</si>
  <si>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</si>
  <si>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</si>
  <si>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</si>
  <si>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</si>
  <si>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</si>
  <si>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</si>
  <si>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</si>
  <si>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</si>
  <si>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</si>
  <si>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</si>
  <si>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</si>
  <si>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</si>
  <si>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</si>
  <si>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</si>
  <si>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</si>
  <si>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</si>
  <si>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</si>
  <si>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</si>
  <si>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</si>
  <si>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</si>
  <si>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</si>
  <si>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</si>
  <si>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</si>
  <si>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</si>
  <si>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</si>
  <si>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</si>
  <si>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</si>
  <si>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</si>
  <si>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</si>
  <si>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</si>
  <si>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</si>
  <si>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</si>
  <si>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</si>
  <si>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</si>
  <si>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</si>
  <si>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</si>
  <si>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</si>
  <si>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</si>
  <si>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</si>
  <si>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</si>
  <si>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</si>
  <si>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</si>
  <si>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</si>
  <si>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</si>
  <si>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</si>
  <si>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</si>
  <si>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</si>
  <si>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</si>
  <si>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</si>
  <si>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</si>
  <si>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</si>
  <si>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</si>
  <si>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</si>
  <si>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</si>
  <si>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</si>
  <si>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</si>
  <si>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</si>
  <si>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</si>
  <si>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</si>
  <si>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</si>
  <si>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</si>
  <si>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</si>
  <si>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</si>
  <si>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</si>
  <si>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</si>
  <si>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</si>
  <si>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</si>
  <si>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</si>
  <si>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</si>
  <si>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</si>
  <si>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</si>
  <si>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</si>
  <si>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</si>
  <si>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</si>
  <si>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</si>
  <si>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</si>
  <si>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</si>
  <si>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</si>
  <si>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</si>
  <si>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</si>
  <si>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</si>
  <si>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</si>
  <si>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</si>
  <si>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</si>
  <si>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</si>
  <si>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</si>
  <si>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</si>
  <si>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</si>
  <si>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</si>
  <si>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</si>
  <si>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</si>
  <si>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</si>
  <si>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</si>
  <si>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</si>
  <si>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</si>
  <si>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</si>
  <si>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</si>
  <si>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</si>
  <si>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</si>
  <si>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</si>
  <si>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</si>
  <si>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</si>
  <si>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</si>
  <si>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</si>
  <si>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</si>
  <si>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</si>
  <si>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</si>
  <si>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</si>
  <si>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</si>
  <si>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</si>
  <si>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</si>
  <si>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</si>
  <si>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</si>
  <si>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</si>
  <si>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</si>
  <si>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</si>
  <si>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</si>
  <si>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</si>
  <si>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</si>
  <si>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</si>
  <si>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</si>
  <si>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</si>
  <si>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</si>
  <si>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</si>
  <si>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</si>
  <si>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</si>
  <si>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</si>
  <si>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</si>
  <si>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</si>
  <si>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</si>
  <si>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</si>
  <si>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</si>
  <si>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</si>
  <si>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</si>
  <si>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</si>
  <si>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</si>
  <si>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</si>
  <si>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</si>
  <si>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</si>
  <si>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</si>
  <si>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</si>
  <si>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</si>
  <si>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</si>
  <si>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</si>
  <si>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</si>
  <si>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</si>
  <si>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</si>
  <si>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</si>
  <si>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</si>
  <si>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</si>
  <si>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</si>
  <si>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</si>
  <si>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</si>
  <si>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</si>
  <si>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</si>
  <si>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</si>
  <si>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</si>
  <si>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</si>
  <si>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</si>
  <si>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</si>
  <si>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</si>
  <si>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</si>
  <si>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</si>
  <si>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</si>
  <si>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</si>
  <si>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</si>
  <si>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</si>
  <si>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</si>
  <si>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</si>
  <si>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</si>
  <si>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</si>
  <si>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</si>
  <si>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</si>
  <si>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</si>
  <si>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</si>
  <si>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</si>
  <si>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</si>
  <si>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</si>
  <si>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</si>
  <si>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</si>
  <si>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</si>
  <si>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</si>
  <si>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</si>
  <si>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</si>
  <si>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</si>
  <si>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</si>
  <si>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</si>
  <si>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</si>
  <si>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</si>
  <si>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</si>
  <si>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</si>
  <si>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</si>
  <si>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</si>
  <si>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</si>
  <si>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</si>
  <si>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</si>
  <si>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</si>
  <si>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</si>
  <si>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</si>
  <si>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</si>
  <si>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</si>
  <si>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</si>
  <si>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</si>
  <si>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</si>
  <si>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</si>
  <si>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</si>
  <si>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</si>
  <si>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</si>
  <si>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</si>
  <si>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</si>
  <si>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</si>
  <si>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</si>
  <si>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</si>
  <si>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</si>
  <si>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</si>
  <si>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</si>
  <si>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</si>
  <si>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</si>
  <si>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</si>
  <si>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</si>
  <si>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</si>
  <si>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</si>
  <si>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</si>
  <si>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</si>
  <si>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</si>
  <si>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</si>
  <si>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</si>
  <si>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</si>
  <si>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</si>
  <si>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</si>
  <si>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</si>
  <si>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</si>
  <si>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</si>
  <si>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</si>
  <si>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</si>
  <si>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</si>
  <si>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</si>
  <si>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</si>
  <si>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</si>
  <si>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</si>
  <si>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</si>
  <si>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</si>
  <si>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</si>
  <si>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</si>
  <si>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</si>
  <si>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</si>
  <si>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</si>
  <si>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</si>
  <si>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</si>
  <si>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</si>
  <si>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</si>
  <si>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</si>
  <si>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</si>
  <si>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</si>
  <si>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</si>
  <si>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</si>
  <si>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</si>
  <si>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</si>
  <si>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</si>
  <si>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</si>
  <si>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</si>
  <si>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</si>
  <si>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</si>
  <si>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</si>
  <si>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</si>
  <si>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</si>
  <si>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</si>
  <si>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</si>
  <si>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</si>
  <si>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</si>
  <si>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</si>
  <si>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</si>
  <si>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</si>
  <si>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</si>
  <si>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</si>
  <si>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</si>
  <si>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</si>
  <si>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</si>
  <si>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</si>
  <si>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</si>
  <si>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</si>
  <si>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</si>
  <si>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</si>
  <si>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</si>
  <si>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</si>
  <si>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</si>
  <si>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</si>
  <si>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</si>
  <si>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</si>
  <si>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</si>
  <si>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</si>
  <si>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</si>
  <si>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</si>
  <si>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</si>
  <si>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</si>
  <si>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</si>
  <si>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</si>
  <si>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</si>
  <si>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</si>
  <si>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</si>
  <si>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</si>
  <si>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</si>
  <si>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</si>
  <si>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</si>
  <si>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</si>
  <si>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</si>
  <si>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</si>
  <si>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</si>
  <si>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</si>
  <si>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</si>
  <si>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</si>
  <si>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</si>
  <si>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</si>
  <si>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</si>
  <si>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</si>
  <si>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</si>
  <si>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</si>
  <si>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</si>
  <si>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</si>
  <si>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</si>
  <si>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</si>
  <si>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</si>
  <si>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</si>
  <si>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</si>
  <si>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</si>
  <si>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</si>
  <si>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</si>
  <si>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</si>
  <si>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</si>
  <si>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</si>
  <si>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</si>
  <si>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</si>
  <si>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</si>
  <si>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</si>
  <si>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</si>
  <si>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</si>
  <si>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</si>
  <si>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</si>
  <si>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</si>
  <si>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</si>
  <si>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</si>
  <si>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</si>
  <si>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</si>
  <si>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</si>
  <si>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</si>
  <si>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</si>
  <si>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</si>
  <si>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</si>
  <si>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</si>
  <si>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</si>
  <si>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</si>
  <si>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</si>
  <si>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</si>
  <si>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</si>
  <si>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</si>
  <si>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</si>
  <si>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</si>
  <si>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</si>
  <si>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</si>
  <si>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</si>
  <si>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</si>
  <si>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</si>
  <si>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</si>
  <si>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</si>
  <si>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</si>
  <si>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</si>
  <si>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</si>
  <si>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</si>
  <si>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</si>
  <si>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</si>
  <si>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</si>
  <si>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</si>
  <si>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</si>
  <si>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</si>
  <si>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</si>
  <si>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</si>
  <si>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</si>
  <si>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</si>
  <si>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</si>
  <si>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</si>
  <si>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</si>
  <si>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</si>
  <si>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</si>
  <si>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</si>
  <si>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</si>
  <si>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</si>
  <si>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</si>
  <si>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</si>
  <si>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</si>
  <si>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</si>
  <si>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</si>
  <si>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</si>
  <si>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</si>
  <si>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</si>
  <si>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</si>
  <si>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</si>
  <si>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</si>
  <si>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</si>
  <si>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</si>
  <si>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</si>
  <si>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</si>
  <si>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</si>
  <si>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</si>
  <si>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</si>
  <si>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</si>
  <si>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</si>
  <si>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</si>
  <si>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</si>
  <si>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</si>
  <si>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</si>
  <si>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</si>
  <si>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</si>
  <si>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</si>
  <si>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</si>
  <si>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</si>
  <si>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</si>
  <si>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</si>
  <si>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</si>
  <si>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</si>
  <si>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</si>
  <si>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</si>
  <si>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</si>
  <si>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</si>
  <si>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</si>
  <si>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</si>
  <si>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</si>
  <si>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</si>
  <si>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</si>
  <si>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</si>
  <si>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</si>
  <si>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</si>
  <si>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</si>
  <si>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</si>
  <si>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</si>
  <si>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</si>
  <si>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</si>
  <si>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</si>
  <si>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</si>
  <si>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</si>
  <si>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</si>
  <si>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</si>
  <si>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</si>
  <si>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</si>
  <si>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</si>
  <si>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</si>
  <si>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</si>
  <si>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</si>
  <si>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</si>
  <si>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</si>
  <si>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</si>
  <si>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</si>
  <si>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</si>
  <si>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</si>
  <si>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</si>
  <si>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</si>
  <si>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</si>
  <si>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</si>
  <si>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</si>
  <si>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</si>
  <si>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</si>
  <si>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</si>
  <si>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</si>
  <si>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</si>
  <si>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</si>
  <si>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</si>
  <si>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</si>
  <si>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</si>
  <si>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</si>
  <si>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</si>
  <si>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</si>
  <si>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</si>
  <si>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Team Netz EnDaNet</t>
  </si>
  <si>
    <t>THE0NKH701147000</t>
  </si>
  <si>
    <t>0361/564-2320</t>
  </si>
  <si>
    <t>DE_GBD04</t>
  </si>
  <si>
    <t>DE_GHA04</t>
  </si>
  <si>
    <t>DE_GKO04</t>
  </si>
  <si>
    <t>DE_GMK04</t>
  </si>
  <si>
    <t>DE_GBA04</t>
  </si>
  <si>
    <t>DE_GBH04</t>
  </si>
  <si>
    <t>DE_GGA04</t>
  </si>
  <si>
    <t>DE_GHD04</t>
  </si>
  <si>
    <t>Stadtwerke Itzehoe GmbH</t>
  </si>
  <si>
    <t>9870087300009</t>
  </si>
  <si>
    <t>Gasstraße 18</t>
  </si>
  <si>
    <t>Itzehoe</t>
  </si>
  <si>
    <t>sw.itzehoe@edi-gas.de</t>
  </si>
  <si>
    <t>THE0NKH700873000</t>
  </si>
  <si>
    <t>Itzehoe(10142)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</si>
</sst>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u/>
      <sz val="11"/>
      <color theme="10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0" borderId="17" xfId="0" applyFill="1" applyBorder="1" applyAlignment="1" applyProtection="1">
      <alignment horizontal="left" vertical="center"/>
      <protection locked="0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93" fillId="33" borderId="17" xfId="152" applyFont="1" applyFill="1" applyBorder="1" applyAlignment="1" applyProtection="1">
      <alignment horizont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5"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2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668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 t="s">
        <v>669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670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25524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671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657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69" t="s">
        <v>672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659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">
        <v>658</v>
      </c>
      <c r="E28" s="38"/>
      <c r="F28" s="11"/>
      <c r="G28" s="2"/>
    </row>
    <row r="29" spans="1:15">
      <c r="B29" s="15"/>
      <c r="C29" s="22" t="s">
        <v>393</v>
      </c>
      <c r="D29" s="44" t="s">
        <v>673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E33" sqref="E3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Stadtwerke Itzehoe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Netzbetreiber!D29</f>
        <v>THE0NKH700873000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 t="str">
        <f>Netzbetreiber!$D$11</f>
        <v>9870087300009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673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135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134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 × F(opt)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Hinweis: beim Verwendung von Optimierungsfaktoren, sind tägl. anwendungsspezif. Parameter bereitzustellen.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11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674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62" priority="20">
      <formula>IF(#REF!="Gaspool",1,0)</formula>
    </cfRule>
  </conditionalFormatting>
  <conditionalFormatting sqref="D45:D59">
    <cfRule type="expression" dxfId="61" priority="16">
      <formula>IF(CELL("Zeile",D45)&lt;$D$43+CELL("Zeile",$D$45),1,0)</formula>
    </cfRule>
  </conditionalFormatting>
  <conditionalFormatting sqref="D46:D59">
    <cfRule type="expression" dxfId="60" priority="15">
      <formula>IF(CELL(D46)&lt;$D$33+27,1,0)</formula>
    </cfRule>
  </conditionalFormatting>
  <conditionalFormatting sqref="D20">
    <cfRule type="expression" dxfId="59" priority="14">
      <formula>IF($D$19=$H$19,1,0)</formula>
    </cfRule>
  </conditionalFormatting>
  <conditionalFormatting sqref="D28">
    <cfRule type="expression" dxfId="58" priority="3">
      <formula>IF($D$15="synthetisch",1,0)</formula>
    </cfRule>
  </conditionalFormatting>
  <conditionalFormatting sqref="D25">
    <cfRule type="expression" dxfId="57" priority="1">
      <formula>IF(AND($D$24=$I$24,$D$23=$H$23),1,0)</formula>
    </cfRule>
  </conditionalFormatting>
  <conditionalFormatting sqref="D23:D25">
    <cfRule type="expression" dxfId="56" priority="4">
      <formula>IF($D$15="analytisch",1,0)</formula>
    </cfRule>
  </conditionalFormatting>
  <conditionalFormatting sqref="D24">
    <cfRule type="expression" dxfId="55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25" sqref="E2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tr">
        <f>Netzbetreiber!D9</f>
        <v>Stadtwerke Itzehoe GmbH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THE0NKH701147000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353" t="str">
        <f>Netzbetreiber!D11</f>
        <v>9870087300009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#01'!F10)</f>
        <v>Itzehoe(10142)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4" t="s">
        <v>584</v>
      </c>
      <c r="D13" s="354"/>
      <c r="E13" s="354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5" t="s">
        <v>445</v>
      </c>
      <c r="D14" s="355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5" t="s">
        <v>385</v>
      </c>
      <c r="D15" s="355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/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91">
        <v>1</v>
      </c>
      <c r="F22" s="291"/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139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351" t="s">
        <v>671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10142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503</v>
      </c>
      <c r="F26" s="156"/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654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7">
        <f>1-SUMPRODUCT(F30:N30,F32:N32)</f>
        <v>0.5333</v>
      </c>
      <c r="F32" s="287">
        <f>ROUND(F33/$D$33,4)</f>
        <v>0.26669999999999999</v>
      </c>
      <c r="G32" s="287">
        <f t="shared" ref="G32:N32" si="3">ROUND(G33/$D$33,4)</f>
        <v>0.1333</v>
      </c>
      <c r="H32" s="287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1.875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156" t="s">
        <v>604</v>
      </c>
      <c r="F36" s="156" t="s">
        <v>604</v>
      </c>
      <c r="G36" s="156" t="s">
        <v>604</v>
      </c>
      <c r="H36" s="156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7">
        <f>1-SUMPRODUCT(F54:N54,F56:N56)</f>
        <v>1</v>
      </c>
      <c r="F56" s="287">
        <f>ROUND(F57/$D$57,4)</f>
        <v>0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88">
        <f>E22</f>
        <v>1</v>
      </c>
      <c r="F57" s="288">
        <f t="shared" ref="F57:N57" si="6">F22</f>
        <v>0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DWD</v>
      </c>
      <c r="F58" s="156">
        <f t="shared" ref="F58:N58" si="7">F23</f>
        <v>0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56" t="str">
        <f>E24</f>
        <v>Itzehoe</v>
      </c>
      <c r="F59" s="156">
        <f t="shared" ref="F59:N59" si="8">F24</f>
        <v>0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10142</v>
      </c>
      <c r="F60" s="160">
        <f t="shared" ref="F60:N60" si="9">F25</f>
        <v>0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Temp. (2m)</v>
      </c>
      <c r="F61" s="158">
        <f t="shared" ref="F61:N61" si="10">F26</f>
        <v>0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7">
        <f>1-SUMPRODUCT(F64:N64,F66:N66)</f>
        <v>0.5333</v>
      </c>
      <c r="F66" s="287">
        <f>ROUND(F67/$D$67,4)</f>
        <v>0.26669999999999999</v>
      </c>
      <c r="G66" s="287">
        <f t="shared" ref="G66:N66" si="12">ROUND(G67/$D$67,4)</f>
        <v>0.1333</v>
      </c>
      <c r="H66" s="287">
        <f t="shared" si="12"/>
        <v>6.6699999999999995E-2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533</v>
      </c>
      <c r="D67" s="186">
        <f>SUMPRODUCT(E67:N67,E64:N64)</f>
        <v>1.875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6" t="s">
        <v>580</v>
      </c>
      <c r="D73" s="356"/>
      <c r="E73" s="356"/>
      <c r="F73" s="356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54" priority="36">
      <formula>IF(E$20&lt;=$F$18,1,0)</formula>
    </cfRule>
  </conditionalFormatting>
  <conditionalFormatting sqref="E33:N37">
    <cfRule type="expression" dxfId="53" priority="35">
      <formula>IF(E$31&lt;=$F$29,1,0)</formula>
    </cfRule>
  </conditionalFormatting>
  <conditionalFormatting sqref="E26:N26">
    <cfRule type="expression" dxfId="52" priority="34">
      <formula>IF(E$20&lt;=$F$18,1,0)</formula>
    </cfRule>
  </conditionalFormatting>
  <conditionalFormatting sqref="E26:N26">
    <cfRule type="expression" dxfId="51" priority="33">
      <formula>IF(E$20&lt;=$F$18,1,0)</formula>
    </cfRule>
  </conditionalFormatting>
  <conditionalFormatting sqref="E57:N60">
    <cfRule type="expression" dxfId="50" priority="30">
      <formula>IF(E$55&lt;=$F$53,1,0)</formula>
    </cfRule>
  </conditionalFormatting>
  <conditionalFormatting sqref="E61:N61">
    <cfRule type="expression" dxfId="49" priority="29">
      <formula>IF(E$55&lt;=$F$53,1,0)</formula>
    </cfRule>
  </conditionalFormatting>
  <conditionalFormatting sqref="E67:N69">
    <cfRule type="expression" dxfId="48" priority="23">
      <formula>IF(E$65&lt;=$F$63,1,0)</formula>
    </cfRule>
  </conditionalFormatting>
  <conditionalFormatting sqref="E66:N69 E71:N71">
    <cfRule type="expression" dxfId="47" priority="21">
      <formula>IF(E$65&gt;$F$63,1,0)</formula>
    </cfRule>
  </conditionalFormatting>
  <conditionalFormatting sqref="E57:N61">
    <cfRule type="expression" dxfId="46" priority="20">
      <formula>IF(E$55&gt;$F$53,1,0)</formula>
    </cfRule>
  </conditionalFormatting>
  <conditionalFormatting sqref="E21:N23 E26:N26 F24:N25">
    <cfRule type="expression" dxfId="45" priority="19">
      <formula>IF(E$20&gt;$F$18,1,0)</formula>
    </cfRule>
  </conditionalFormatting>
  <conditionalFormatting sqref="E33:N37">
    <cfRule type="expression" dxfId="44" priority="18">
      <formula>IF(E$31&gt;$F$29,1,0)</formula>
    </cfRule>
  </conditionalFormatting>
  <conditionalFormatting sqref="H11 H8:H9">
    <cfRule type="expression" dxfId="43" priority="17">
      <formula>IF($F$9=1,1,0)</formula>
    </cfRule>
  </conditionalFormatting>
  <conditionalFormatting sqref="E56:N56">
    <cfRule type="expression" dxfId="42" priority="16">
      <formula>IF(E$55&gt;$F$53,1,0)</formula>
    </cfRule>
  </conditionalFormatting>
  <conditionalFormatting sqref="E32:N32">
    <cfRule type="expression" dxfId="41" priority="15">
      <formula>IF(E$31&gt;$F$29,1,0)</formula>
    </cfRule>
  </conditionalFormatting>
  <conditionalFormatting sqref="E71:N71">
    <cfRule type="expression" dxfId="40" priority="14">
      <formula>IF(E$65&lt;=$F$63,1,0)</formula>
    </cfRule>
  </conditionalFormatting>
  <conditionalFormatting sqref="H10">
    <cfRule type="expression" dxfId="39" priority="13">
      <formula>IF($F$9=1,1,0)</formula>
    </cfRule>
  </conditionalFormatting>
  <conditionalFormatting sqref="E70:N70">
    <cfRule type="expression" dxfId="38" priority="10">
      <formula>IF(E$65&lt;=$F$63,1,0)</formula>
    </cfRule>
  </conditionalFormatting>
  <conditionalFormatting sqref="E70:N70">
    <cfRule type="expression" dxfId="37" priority="9">
      <formula>IF(E$65&gt;$F$63,1,0)</formula>
    </cfRule>
  </conditionalFormatting>
  <conditionalFormatting sqref="E24">
    <cfRule type="expression" dxfId="3" priority="4">
      <formula>IF(E$20&lt;=$F$18,1,0)</formula>
    </cfRule>
  </conditionalFormatting>
  <conditionalFormatting sqref="E24">
    <cfRule type="expression" dxfId="2" priority="3">
      <formula>IF(E$20&gt;$F$18,1,0)</formula>
    </cfRule>
  </conditionalFormatting>
  <conditionalFormatting sqref="E25">
    <cfRule type="expression" dxfId="1" priority="2">
      <formula>IF(E$20&lt;=$F$18,1,0)</formula>
    </cfRule>
  </conditionalFormatting>
  <conditionalFormatting sqref="E25">
    <cfRule type="expression" dxfId="0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E57:N60 E22 I22:N22 F63 G24:N24 G71:N71 E33:N35 E70:N70 G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THE0NKH701147000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4" t="s">
        <v>584</v>
      </c>
      <c r="D13" s="354"/>
      <c r="E13" s="354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5" t="s">
        <v>445</v>
      </c>
      <c r="D14" s="355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5" t="s">
        <v>385</v>
      </c>
      <c r="D15" s="355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6" t="s">
        <v>580</v>
      </c>
      <c r="D72" s="356"/>
      <c r="E72" s="356"/>
      <c r="F72" s="35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2" priority="18">
      <formula>IF(E$20&lt;=$F$18,1,0)</formula>
    </cfRule>
  </conditionalFormatting>
  <conditionalFormatting sqref="E32:N36">
    <cfRule type="expression" dxfId="31" priority="17">
      <formula>IF(E$30&lt;=$F$28,1,0)</formula>
    </cfRule>
  </conditionalFormatting>
  <conditionalFormatting sqref="E26:F26">
    <cfRule type="expression" dxfId="30" priority="16">
      <formula>IF(E$20&lt;=$F$18,1,0)</formula>
    </cfRule>
  </conditionalFormatting>
  <conditionalFormatting sqref="E26:N26">
    <cfRule type="expression" dxfId="29" priority="15">
      <formula>IF(E$20&lt;=$F$18,1,0)</formula>
    </cfRule>
  </conditionalFormatting>
  <conditionalFormatting sqref="E56:N59">
    <cfRule type="expression" dxfId="28" priority="14">
      <formula>IF(E$54&lt;=$F$52,1,0)</formula>
    </cfRule>
  </conditionalFormatting>
  <conditionalFormatting sqref="E60:N60">
    <cfRule type="expression" dxfId="27" priority="13">
      <formula>IF(E$54&lt;=$F$52,1,0)</formula>
    </cfRule>
  </conditionalFormatting>
  <conditionalFormatting sqref="E66:N68">
    <cfRule type="expression" dxfId="26" priority="12">
      <formula>IF(E$64&lt;=$F$62,1,0)</formula>
    </cfRule>
  </conditionalFormatting>
  <conditionalFormatting sqref="E65:N68 E70:N70">
    <cfRule type="expression" dxfId="25" priority="11">
      <formula>IF(E$64&gt;$F$62,1,0)</formula>
    </cfRule>
  </conditionalFormatting>
  <conditionalFormatting sqref="E56:N60">
    <cfRule type="expression" dxfId="24" priority="10">
      <formula>IF(E$54&gt;$F$52,1,0)</formula>
    </cfRule>
  </conditionalFormatting>
  <conditionalFormatting sqref="E21:N26">
    <cfRule type="expression" dxfId="23" priority="9">
      <formula>IF(E$20&gt;$F$18,1,0)</formula>
    </cfRule>
  </conditionalFormatting>
  <conditionalFormatting sqref="E32:N36">
    <cfRule type="expression" dxfId="22" priority="8">
      <formula>IF(E$30&gt;$F$28,1,0)</formula>
    </cfRule>
  </conditionalFormatting>
  <conditionalFormatting sqref="H11 H8:H9">
    <cfRule type="expression" dxfId="21" priority="7">
      <formula>IF($F$9=1,1,0)</formula>
    </cfRule>
  </conditionalFormatting>
  <conditionalFormatting sqref="E55:N55">
    <cfRule type="expression" dxfId="20" priority="6">
      <formula>IF(E$54&gt;$F$52,1,0)</formula>
    </cfRule>
  </conditionalFormatting>
  <conditionalFormatting sqref="E31:N31">
    <cfRule type="expression" dxfId="19" priority="5">
      <formula>IF(E$30&gt;$F$28,1,0)</formula>
    </cfRule>
  </conditionalFormatting>
  <conditionalFormatting sqref="E70:N70">
    <cfRule type="expression" dxfId="18" priority="4">
      <formula>IF(E$64&lt;=$F$62,1,0)</formula>
    </cfRule>
  </conditionalFormatting>
  <conditionalFormatting sqref="H10">
    <cfRule type="expression" dxfId="17" priority="3">
      <formula>IF($F$9=1,1,0)</formula>
    </cfRule>
  </conditionalFormatting>
  <conditionalFormatting sqref="E69:N69">
    <cfRule type="expression" dxfId="16" priority="2">
      <formula>IF(E$64&lt;=$F$62,1,0)</formula>
    </cfRule>
  </conditionalFormatting>
  <conditionalFormatting sqref="E69:N69">
    <cfRule type="expression" dxfId="15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3" sqref="E2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Stadtwerke Itzehoe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THE0NKH701147000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 t="str">
        <f>Netzbetreiber!$D$11</f>
        <v>9870087300009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f>COUNTA(D12:D100)</f>
        <v>11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THE0NKH701147000</v>
      </c>
      <c r="D12" s="62" t="s">
        <v>248</v>
      </c>
      <c r="E12" s="165" t="s">
        <v>664</v>
      </c>
      <c r="F12" s="307" t="str">
        <f>VLOOKUP($E12,'BDEW-Standard'!$B$3:$M$94,F$9,0)</f>
        <v>BA4</v>
      </c>
      <c r="H12" s="278">
        <f>ROUND(VLOOKUP($E12,'BDEW-Standard'!$B$3:$M$94,H$9,0),7)</f>
        <v>0.93158890000000005</v>
      </c>
      <c r="I12" s="278">
        <f>ROUND(VLOOKUP($E12,'BDEW-Standard'!$B$3:$M$94,I$9,0),7)</f>
        <v>-33.35</v>
      </c>
      <c r="J12" s="278">
        <f>ROUND(VLOOKUP($E12,'BDEW-Standard'!$B$3:$M$94,J$9,0),7)</f>
        <v>5.7212303000000002</v>
      </c>
      <c r="K12" s="278">
        <f>ROUND(VLOOKUP($E12,'BDEW-Standard'!$B$3:$M$94,K$9,0),7)</f>
        <v>0.66564939999999995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3" si="1">($H12/(1+($I12/($Q$9-$L12))^$J12)+$K12)+MAX($M12*$Q$9+$N12,$O12*$Q$9+$P12)</f>
        <v>1.0766391850538448</v>
      </c>
      <c r="R12" s="281">
        <f>ROUND(VLOOKUP(MID($E12,4,3),'Wochentag F(WT)'!$B$7:$J$22,R$9,0),4)</f>
        <v>1.0848</v>
      </c>
      <c r="S12" s="281">
        <f>ROUND(VLOOKUP(MID($E12,4,3),'Wochentag F(WT)'!$B$7:$J$22,S$9,0),4)</f>
        <v>1.1211</v>
      </c>
      <c r="T12" s="281">
        <f>ROUND(VLOOKUP(MID($E12,4,3),'Wochentag F(WT)'!$B$7:$J$22,T$9,0),4)</f>
        <v>1.0769</v>
      </c>
      <c r="U12" s="281">
        <f>ROUND(VLOOKUP(MID($E12,4,3),'Wochentag F(WT)'!$B$7:$J$22,U$9,0),4)</f>
        <v>1.1353</v>
      </c>
      <c r="V12" s="281">
        <f>ROUND(VLOOKUP(MID($E12,4,3),'Wochentag F(WT)'!$B$7:$J$22,V$9,0),4)</f>
        <v>1.1402000000000001</v>
      </c>
      <c r="W12" s="281">
        <f>ROUND(VLOOKUP(MID($E12,4,3),'Wochentag F(WT)'!$B$7:$J$22,W$9,0),4)</f>
        <v>0.48520000000000002</v>
      </c>
      <c r="X12" s="282">
        <f>7-SUM(R12:W12)</f>
        <v>0.95650000000000013</v>
      </c>
      <c r="Y12" s="303"/>
      <c r="Z12" s="212"/>
    </row>
    <row r="13" spans="2:26" s="143" customFormat="1">
      <c r="B13" s="144">
        <v>2</v>
      </c>
      <c r="C13" s="145" t="str">
        <f t="shared" si="0"/>
        <v>THE0NKH701147000</v>
      </c>
      <c r="D13" s="62" t="s">
        <v>248</v>
      </c>
      <c r="E13" s="165" t="s">
        <v>660</v>
      </c>
      <c r="F13" s="307" t="str">
        <f>VLOOKUP($E13,'BDEW-Standard'!$B$3:$M$94,F$9,0)</f>
        <v>BD4</v>
      </c>
      <c r="H13" s="278">
        <f>ROUND(VLOOKUP($E13,'BDEW-Standard'!$B$3:$M$94,H$9,0),7)</f>
        <v>3.75</v>
      </c>
      <c r="I13" s="278">
        <f>ROUND(VLOOKUP($E13,'BDEW-Standard'!$B$3:$M$94,I$9,0),7)</f>
        <v>-37.5</v>
      </c>
      <c r="J13" s="278">
        <f>ROUND(VLOOKUP($E13,'BDEW-Standard'!$B$3:$M$94,J$9,0),7)</f>
        <v>6.8</v>
      </c>
      <c r="K13" s="278">
        <f>ROUND(VLOOKUP($E13,'BDEW-Standard'!$B$3:$M$94,K$9,0),7)</f>
        <v>6.0911300000000002E-2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1.0126136468627658</v>
      </c>
      <c r="R13" s="281">
        <f>ROUND(VLOOKUP(MID($E13,4,3),'Wochentag F(WT)'!$B$7:$J$22,R$9,0),4)</f>
        <v>1.1052</v>
      </c>
      <c r="S13" s="281">
        <f>ROUND(VLOOKUP(MID($E13,4,3),'Wochentag F(WT)'!$B$7:$J$22,S$9,0),4)</f>
        <v>1.0857000000000001</v>
      </c>
      <c r="T13" s="281">
        <f>ROUND(VLOOKUP(MID($E13,4,3),'Wochentag F(WT)'!$B$7:$J$22,T$9,0),4)</f>
        <v>1.0378000000000001</v>
      </c>
      <c r="U13" s="281">
        <f>ROUND(VLOOKUP(MID($E13,4,3),'Wochentag F(WT)'!$B$7:$J$22,U$9,0),4)</f>
        <v>1.0622</v>
      </c>
      <c r="V13" s="281">
        <f>ROUND(VLOOKUP(MID($E13,4,3),'Wochentag F(WT)'!$B$7:$J$22,V$9,0),4)</f>
        <v>1.0266</v>
      </c>
      <c r="W13" s="281">
        <f>ROUND(VLOOKUP(MID($E13,4,3),'Wochentag F(WT)'!$B$7:$J$22,W$9,0),4)</f>
        <v>0.76290000000000002</v>
      </c>
      <c r="X13" s="282">
        <f t="shared" ref="X13:X23" si="2">7-SUM(R13:W13)</f>
        <v>0.91959999999999997</v>
      </c>
      <c r="Y13" s="303"/>
      <c r="Z13" s="212"/>
    </row>
    <row r="14" spans="2:26" s="143" customFormat="1">
      <c r="B14" s="144">
        <v>3</v>
      </c>
      <c r="C14" s="145" t="str">
        <f t="shared" si="0"/>
        <v>THE0NKH701147000</v>
      </c>
      <c r="D14" s="62" t="s">
        <v>248</v>
      </c>
      <c r="E14" s="165" t="s">
        <v>665</v>
      </c>
      <c r="F14" s="307" t="str">
        <f>VLOOKUP($E14,'BDEW-Standard'!$B$3:$M$94,F$9,0)</f>
        <v>BH4</v>
      </c>
      <c r="H14" s="278">
        <f>ROUND(VLOOKUP($E14,'BDEW-Standard'!$B$3:$M$94,H$9,0),7)</f>
        <v>2.4595180999999999</v>
      </c>
      <c r="I14" s="278">
        <f>ROUND(VLOOKUP($E14,'BDEW-Standard'!$B$3:$M$94,I$9,0),7)</f>
        <v>-35.253212400000002</v>
      </c>
      <c r="J14" s="278">
        <f>ROUND(VLOOKUP($E14,'BDEW-Standard'!$B$3:$M$94,J$9,0),7)</f>
        <v>6.0587001000000003</v>
      </c>
      <c r="K14" s="278">
        <f>ROUND(VLOOKUP($E14,'BDEW-Standard'!$B$3:$M$94,K$9,0),7)</f>
        <v>0.16473699999999999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1.043802057143173</v>
      </c>
      <c r="R14" s="281">
        <f>ROUND(VLOOKUP(MID($E14,4,3),'Wochentag F(WT)'!$B$7:$J$22,R$9,0),4)</f>
        <v>0.97670000000000001</v>
      </c>
      <c r="S14" s="281">
        <f>ROUND(VLOOKUP(MID($E14,4,3),'Wochentag F(WT)'!$B$7:$J$22,S$9,0),4)</f>
        <v>1.0388999999999999</v>
      </c>
      <c r="T14" s="281">
        <f>ROUND(VLOOKUP(MID($E14,4,3),'Wochentag F(WT)'!$B$7:$J$22,T$9,0),4)</f>
        <v>1.0027999999999999</v>
      </c>
      <c r="U14" s="281">
        <f>ROUND(VLOOKUP(MID($E14,4,3),'Wochentag F(WT)'!$B$7:$J$22,U$9,0),4)</f>
        <v>1.0162</v>
      </c>
      <c r="V14" s="281">
        <f>ROUND(VLOOKUP(MID($E14,4,3),'Wochentag F(WT)'!$B$7:$J$22,V$9,0),4)</f>
        <v>1.0024</v>
      </c>
      <c r="W14" s="281">
        <f>ROUND(VLOOKUP(MID($E14,4,3),'Wochentag F(WT)'!$B$7:$J$22,W$9,0),4)</f>
        <v>1.0043</v>
      </c>
      <c r="X14" s="282">
        <f t="shared" si="2"/>
        <v>0.95870000000000122</v>
      </c>
      <c r="Y14" s="303"/>
      <c r="Z14" s="212"/>
    </row>
    <row r="15" spans="2:26" s="143" customFormat="1">
      <c r="B15" s="144">
        <v>4</v>
      </c>
      <c r="C15" s="145" t="str">
        <f t="shared" si="0"/>
        <v>THE0NKH701147000</v>
      </c>
      <c r="D15" s="62" t="s">
        <v>248</v>
      </c>
      <c r="E15" s="165" t="s">
        <v>666</v>
      </c>
      <c r="F15" s="307" t="str">
        <f>VLOOKUP($E15,'BDEW-Standard'!$B$3:$M$94,F$9,0)</f>
        <v>GA4</v>
      </c>
      <c r="H15" s="278">
        <f>ROUND(VLOOKUP($E15,'BDEW-Standard'!$B$3:$M$94,H$9,0),7)</f>
        <v>2.8195655999999998</v>
      </c>
      <c r="I15" s="278">
        <f>ROUND(VLOOKUP($E15,'BDEW-Standard'!$B$3:$M$94,I$9,0),7)</f>
        <v>-36</v>
      </c>
      <c r="J15" s="278">
        <f>ROUND(VLOOKUP($E15,'BDEW-Standard'!$B$3:$M$94,J$9,0),7)</f>
        <v>7.7368518000000002</v>
      </c>
      <c r="K15" s="278">
        <f>ROUND(VLOOKUP($E15,'BDEW-Standard'!$B$3:$M$94,K$9,0),7)</f>
        <v>0.157281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0.96576337685759206</v>
      </c>
      <c r="R15" s="281">
        <f>ROUND(VLOOKUP(MID($E15,4,3),'Wochentag F(WT)'!$B$7:$J$22,R$9,0),4)</f>
        <v>0.93220000000000003</v>
      </c>
      <c r="S15" s="281">
        <f>ROUND(VLOOKUP(MID($E15,4,3),'Wochentag F(WT)'!$B$7:$J$22,S$9,0),4)</f>
        <v>0.98939999999999995</v>
      </c>
      <c r="T15" s="281">
        <f>ROUND(VLOOKUP(MID($E15,4,3),'Wochentag F(WT)'!$B$7:$J$22,T$9,0),4)</f>
        <v>1.0033000000000001</v>
      </c>
      <c r="U15" s="281">
        <f>ROUND(VLOOKUP(MID($E15,4,3),'Wochentag F(WT)'!$B$7:$J$22,U$9,0),4)</f>
        <v>1.0108999999999999</v>
      </c>
      <c r="V15" s="281">
        <f>ROUND(VLOOKUP(MID($E15,4,3),'Wochentag F(WT)'!$B$7:$J$22,V$9,0),4)</f>
        <v>1.018</v>
      </c>
      <c r="W15" s="281">
        <f>ROUND(VLOOKUP(MID($E15,4,3),'Wochentag F(WT)'!$B$7:$J$22,W$9,0),4)</f>
        <v>1.0356000000000001</v>
      </c>
      <c r="X15" s="282">
        <f t="shared" si="2"/>
        <v>1.0106000000000002</v>
      </c>
      <c r="Y15" s="303"/>
      <c r="Z15" s="212"/>
    </row>
    <row r="16" spans="2:26" s="143" customFormat="1">
      <c r="B16" s="144">
        <v>5</v>
      </c>
      <c r="C16" s="145" t="str">
        <f t="shared" si="0"/>
        <v>THE0NKH701147000</v>
      </c>
      <c r="D16" s="62" t="s">
        <v>248</v>
      </c>
      <c r="E16" s="165" t="s">
        <v>661</v>
      </c>
      <c r="F16" s="307" t="str">
        <f>VLOOKUP($E16,'BDEW-Standard'!$B$3:$M$94,F$9,0)</f>
        <v>HA4</v>
      </c>
      <c r="H16" s="278">
        <f>ROUND(VLOOKUP($E16,'BDEW-Standard'!$B$3:$M$94,H$9,0),7)</f>
        <v>4.0196902000000003</v>
      </c>
      <c r="I16" s="278">
        <f>ROUND(VLOOKUP($E16,'BDEW-Standard'!$B$3:$M$94,I$9,0),7)</f>
        <v>-37.828203700000003</v>
      </c>
      <c r="J16" s="278">
        <f>ROUND(VLOOKUP($E16,'BDEW-Standard'!$B$3:$M$94,J$9,0),7)</f>
        <v>8.1593368999999996</v>
      </c>
      <c r="K16" s="278">
        <f>ROUND(VLOOKUP($E16,'BDEW-Standard'!$B$3:$M$94,K$9,0),7)</f>
        <v>4.72845E-2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0.86486713303260787</v>
      </c>
      <c r="R16" s="281">
        <f>ROUND(VLOOKUP(MID($E16,4,3),'Wochentag F(WT)'!$B$7:$J$22,R$9,0),4)</f>
        <v>1.0358000000000001</v>
      </c>
      <c r="S16" s="281">
        <f>ROUND(VLOOKUP(MID($E16,4,3),'Wochentag F(WT)'!$B$7:$J$22,S$9,0),4)</f>
        <v>1.0232000000000001</v>
      </c>
      <c r="T16" s="281">
        <f>ROUND(VLOOKUP(MID($E16,4,3),'Wochentag F(WT)'!$B$7:$J$22,T$9,0),4)</f>
        <v>1.0251999999999999</v>
      </c>
      <c r="U16" s="281">
        <f>ROUND(VLOOKUP(MID($E16,4,3),'Wochentag F(WT)'!$B$7:$J$22,U$9,0),4)</f>
        <v>1.0295000000000001</v>
      </c>
      <c r="V16" s="281">
        <f>ROUND(VLOOKUP(MID($E16,4,3),'Wochentag F(WT)'!$B$7:$J$22,V$9,0),4)</f>
        <v>1.0253000000000001</v>
      </c>
      <c r="W16" s="281">
        <f>ROUND(VLOOKUP(MID($E16,4,3),'Wochentag F(WT)'!$B$7:$J$22,W$9,0),4)</f>
        <v>0.96750000000000003</v>
      </c>
      <c r="X16" s="282">
        <f t="shared" si="2"/>
        <v>0.89350000000000041</v>
      </c>
      <c r="Y16" s="303"/>
      <c r="Z16" s="212"/>
    </row>
    <row r="17" spans="2:26" s="143" customFormat="1">
      <c r="B17" s="144">
        <v>6</v>
      </c>
      <c r="C17" s="145" t="str">
        <f t="shared" si="0"/>
        <v>THE0NKH701147000</v>
      </c>
      <c r="D17" s="62" t="s">
        <v>248</v>
      </c>
      <c r="E17" s="165" t="s">
        <v>667</v>
      </c>
      <c r="F17" s="307" t="str">
        <f>VLOOKUP($E17,'BDEW-Standard'!$B$3:$M$94,F$9,0)</f>
        <v>HD4</v>
      </c>
      <c r="H17" s="278">
        <f>ROUND(VLOOKUP($E17,'BDEW-Standard'!$B$3:$M$94,H$9,0),7)</f>
        <v>3.0084346000000002</v>
      </c>
      <c r="I17" s="278">
        <f>ROUND(VLOOKUP($E17,'BDEW-Standard'!$B$3:$M$94,I$9,0),7)</f>
        <v>-36.607845300000001</v>
      </c>
      <c r="J17" s="278">
        <f>ROUND(VLOOKUP($E17,'BDEW-Standard'!$B$3:$M$94,J$9,0),7)</f>
        <v>7.3211870000000001</v>
      </c>
      <c r="K17" s="278">
        <f>ROUND(VLOOKUP($E17,'BDEW-Standard'!$B$3:$M$94,K$9,0),7)</f>
        <v>0.15496599999999999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0.97302438504000599</v>
      </c>
      <c r="R17" s="281">
        <f>ROUND(VLOOKUP(MID($E17,4,3),'Wochentag F(WT)'!$B$7:$J$22,R$9,0),4)</f>
        <v>1.03</v>
      </c>
      <c r="S17" s="281">
        <f>ROUND(VLOOKUP(MID($E17,4,3),'Wochentag F(WT)'!$B$7:$J$22,S$9,0),4)</f>
        <v>1.03</v>
      </c>
      <c r="T17" s="281">
        <f>ROUND(VLOOKUP(MID($E17,4,3),'Wochentag F(WT)'!$B$7:$J$22,T$9,0),4)</f>
        <v>1.02</v>
      </c>
      <c r="U17" s="281">
        <f>ROUND(VLOOKUP(MID($E17,4,3),'Wochentag F(WT)'!$B$7:$J$22,U$9,0),4)</f>
        <v>1.03</v>
      </c>
      <c r="V17" s="281">
        <f>ROUND(VLOOKUP(MID($E17,4,3),'Wochentag F(WT)'!$B$7:$J$22,V$9,0),4)</f>
        <v>1.01</v>
      </c>
      <c r="W17" s="281">
        <f>ROUND(VLOOKUP(MID($E17,4,3),'Wochentag F(WT)'!$B$7:$J$22,W$9,0),4)</f>
        <v>0.93</v>
      </c>
      <c r="X17" s="282">
        <f t="shared" si="2"/>
        <v>0.95000000000000018</v>
      </c>
      <c r="Y17" s="303"/>
      <c r="Z17" s="212"/>
    </row>
    <row r="18" spans="2:26" s="143" customFormat="1">
      <c r="B18" s="144">
        <v>7</v>
      </c>
      <c r="C18" s="145" t="str">
        <f t="shared" si="0"/>
        <v>THE0NKH701147000</v>
      </c>
      <c r="D18" s="62" t="s">
        <v>248</v>
      </c>
      <c r="E18" s="165" t="s">
        <v>4</v>
      </c>
      <c r="F18" s="307" t="str">
        <f>VLOOKUP($E18,'BDEW-Standard'!$B$3:$M$94,F$9,0)</f>
        <v>HK3</v>
      </c>
      <c r="H18" s="278">
        <f>ROUND(VLOOKUP($E18,'BDEW-Standard'!$B$3:$M$94,H$9,0),7)</f>
        <v>0.40409319999999999</v>
      </c>
      <c r="I18" s="278">
        <f>ROUND(VLOOKUP($E18,'BDEW-Standard'!$B$3:$M$94,I$9,0),7)</f>
        <v>-24.439296800000001</v>
      </c>
      <c r="J18" s="278">
        <f>ROUND(VLOOKUP($E18,'BDEW-Standard'!$B$3:$M$94,J$9,0),7)</f>
        <v>6.5718174999999999</v>
      </c>
      <c r="K18" s="278">
        <f>ROUND(VLOOKUP($E18,'BDEW-Standard'!$B$3:$M$94,K$9,0),7)</f>
        <v>0.71077100000000004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1.0561214000512988</v>
      </c>
      <c r="R18" s="281">
        <f>ROUND(VLOOKUP(MID($E18,4,3),'Wochentag F(WT)'!$B$7:$J$22,R$9,0),4)</f>
        <v>1</v>
      </c>
      <c r="S18" s="281">
        <f>ROUND(VLOOKUP(MID($E18,4,3),'Wochentag F(WT)'!$B$7:$J$22,S$9,0),4)</f>
        <v>1</v>
      </c>
      <c r="T18" s="281">
        <f>ROUND(VLOOKUP(MID($E18,4,3),'Wochentag F(WT)'!$B$7:$J$22,T$9,0),4)</f>
        <v>1</v>
      </c>
      <c r="U18" s="281">
        <f>ROUND(VLOOKUP(MID($E18,4,3),'Wochentag F(WT)'!$B$7:$J$22,U$9,0),4)</f>
        <v>1</v>
      </c>
      <c r="V18" s="281">
        <f>ROUND(VLOOKUP(MID($E18,4,3),'Wochentag F(WT)'!$B$7:$J$22,V$9,0),4)</f>
        <v>1</v>
      </c>
      <c r="W18" s="281">
        <f>ROUND(VLOOKUP(MID($E18,4,3),'Wochentag F(WT)'!$B$7:$J$22,W$9,0),4)</f>
        <v>1</v>
      </c>
      <c r="X18" s="282">
        <f t="shared" si="2"/>
        <v>1</v>
      </c>
      <c r="Y18" s="303"/>
      <c r="Z18" s="212"/>
    </row>
    <row r="19" spans="2:26" s="143" customFormat="1">
      <c r="B19" s="144">
        <v>8</v>
      </c>
      <c r="C19" s="145" t="str">
        <f t="shared" si="0"/>
        <v>THE0NKH701147000</v>
      </c>
      <c r="D19" s="62" t="s">
        <v>248</v>
      </c>
      <c r="E19" s="165" t="s">
        <v>662</v>
      </c>
      <c r="F19" s="307" t="str">
        <f>VLOOKUP($E19,'BDEW-Standard'!$B$3:$M$94,F$9,0)</f>
        <v>KO4</v>
      </c>
      <c r="H19" s="278">
        <f>ROUND(VLOOKUP($E19,'BDEW-Standard'!$B$3:$M$94,H$9,0),7)</f>
        <v>3.4428942999999999</v>
      </c>
      <c r="I19" s="278">
        <f>ROUND(VLOOKUP($E19,'BDEW-Standard'!$B$3:$M$94,I$9,0),7)</f>
        <v>-36.659050399999998</v>
      </c>
      <c r="J19" s="278">
        <f>ROUND(VLOOKUP($E19,'BDEW-Standard'!$B$3:$M$94,J$9,0),7)</f>
        <v>7.6083226000000002</v>
      </c>
      <c r="K19" s="278">
        <f>ROUND(VLOOKUP($E19,'BDEW-Standard'!$B$3:$M$94,K$9,0),7)</f>
        <v>7.4685000000000001E-2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0.97768382110526542</v>
      </c>
      <c r="R19" s="281">
        <f>ROUND(VLOOKUP(MID($E19,4,3),'Wochentag F(WT)'!$B$7:$J$22,R$9,0),4)</f>
        <v>1.0354000000000001</v>
      </c>
      <c r="S19" s="281">
        <f>ROUND(VLOOKUP(MID($E19,4,3),'Wochentag F(WT)'!$B$7:$J$22,S$9,0),4)</f>
        <v>1.0523</v>
      </c>
      <c r="T19" s="281">
        <f>ROUND(VLOOKUP(MID($E19,4,3),'Wochentag F(WT)'!$B$7:$J$22,T$9,0),4)</f>
        <v>1.0448999999999999</v>
      </c>
      <c r="U19" s="281">
        <f>ROUND(VLOOKUP(MID($E19,4,3),'Wochentag F(WT)'!$B$7:$J$22,U$9,0),4)</f>
        <v>1.0494000000000001</v>
      </c>
      <c r="V19" s="281">
        <f>ROUND(VLOOKUP(MID($E19,4,3),'Wochentag F(WT)'!$B$7:$J$22,V$9,0),4)</f>
        <v>0.98850000000000005</v>
      </c>
      <c r="W19" s="281">
        <f>ROUND(VLOOKUP(MID($E19,4,3),'Wochentag F(WT)'!$B$7:$J$22,W$9,0),4)</f>
        <v>0.88600000000000001</v>
      </c>
      <c r="X19" s="282">
        <f t="shared" si="2"/>
        <v>0.94349999999999934</v>
      </c>
      <c r="Y19" s="303"/>
      <c r="Z19" s="212"/>
    </row>
    <row r="20" spans="2:26" s="143" customFormat="1">
      <c r="B20" s="144">
        <v>9</v>
      </c>
      <c r="C20" s="145" t="str">
        <f t="shared" si="0"/>
        <v>THE0NKH701147000</v>
      </c>
      <c r="D20" s="62" t="s">
        <v>248</v>
      </c>
      <c r="E20" s="165" t="s">
        <v>663</v>
      </c>
      <c r="F20" s="307" t="str">
        <f>VLOOKUP($E20,'BDEW-Standard'!$B$3:$M$94,F$9,0)</f>
        <v>MK4</v>
      </c>
      <c r="H20" s="278">
        <f>ROUND(VLOOKUP($E20,'BDEW-Standard'!$B$3:$M$94,H$9,0),7)</f>
        <v>3.1177248</v>
      </c>
      <c r="I20" s="278">
        <f>ROUND(VLOOKUP($E20,'BDEW-Standard'!$B$3:$M$94,I$9,0),7)</f>
        <v>-35.871506199999999</v>
      </c>
      <c r="J20" s="278">
        <f>ROUND(VLOOKUP($E20,'BDEW-Standard'!$B$3:$M$94,J$9,0),7)</f>
        <v>7.5186828999999999</v>
      </c>
      <c r="K20" s="278">
        <f>ROUND(VLOOKUP($E20,'BDEW-Standard'!$B$3:$M$94,K$9,0),7)</f>
        <v>3.4330100000000002E-2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0.9622064996731321</v>
      </c>
      <c r="R20" s="281">
        <f>ROUND(VLOOKUP(MID($E20,4,3),'Wochentag F(WT)'!$B$7:$J$22,R$9,0),4)</f>
        <v>1.0699000000000001</v>
      </c>
      <c r="S20" s="281">
        <f>ROUND(VLOOKUP(MID($E20,4,3),'Wochentag F(WT)'!$B$7:$J$22,S$9,0),4)</f>
        <v>1.0365</v>
      </c>
      <c r="T20" s="281">
        <f>ROUND(VLOOKUP(MID($E20,4,3),'Wochentag F(WT)'!$B$7:$J$22,T$9,0),4)</f>
        <v>0.99329999999999996</v>
      </c>
      <c r="U20" s="281">
        <f>ROUND(VLOOKUP(MID($E20,4,3),'Wochentag F(WT)'!$B$7:$J$22,U$9,0),4)</f>
        <v>0.99480000000000002</v>
      </c>
      <c r="V20" s="281">
        <f>ROUND(VLOOKUP(MID($E20,4,3),'Wochentag F(WT)'!$B$7:$J$22,V$9,0),4)</f>
        <v>1.0659000000000001</v>
      </c>
      <c r="W20" s="281">
        <f>ROUND(VLOOKUP(MID($E20,4,3),'Wochentag F(WT)'!$B$7:$J$22,W$9,0),4)</f>
        <v>0.93620000000000003</v>
      </c>
      <c r="X20" s="282">
        <f t="shared" si="2"/>
        <v>0.90339999999999954</v>
      </c>
      <c r="Y20" s="303"/>
      <c r="Z20" s="212"/>
    </row>
    <row r="21" spans="2:26" s="143" customFormat="1">
      <c r="B21" s="144">
        <v>10</v>
      </c>
      <c r="C21" s="145" t="str">
        <f t="shared" si="0"/>
        <v>THE0NKH701147000</v>
      </c>
      <c r="D21" s="62" t="s">
        <v>248</v>
      </c>
      <c r="E21" s="165" t="s">
        <v>40</v>
      </c>
      <c r="F21" s="307" t="s">
        <v>304</v>
      </c>
      <c r="H21" s="278">
        <v>3.1764404493999998</v>
      </c>
      <c r="I21" s="278">
        <v>-37.410583151700003</v>
      </c>
      <c r="J21" s="278">
        <v>6.1622335977000002</v>
      </c>
      <c r="K21" s="278">
        <v>8.4573406736199994E-2</v>
      </c>
      <c r="L21" s="279">
        <v>40</v>
      </c>
      <c r="M21" s="278">
        <v>0</v>
      </c>
      <c r="N21" s="278">
        <v>0</v>
      </c>
      <c r="O21" s="278">
        <v>0</v>
      </c>
      <c r="P21" s="278">
        <v>0</v>
      </c>
      <c r="Q21" s="280">
        <v>0.96237603288062623</v>
      </c>
      <c r="R21" s="281">
        <v>1</v>
      </c>
      <c r="S21" s="281">
        <v>1</v>
      </c>
      <c r="T21" s="281">
        <v>1</v>
      </c>
      <c r="U21" s="281">
        <v>1</v>
      </c>
      <c r="V21" s="281">
        <v>1</v>
      </c>
      <c r="W21" s="281">
        <v>1</v>
      </c>
      <c r="X21" s="282">
        <v>1</v>
      </c>
      <c r="Y21" s="303"/>
      <c r="Z21" s="212"/>
    </row>
    <row r="22" spans="2:26" s="143" customFormat="1">
      <c r="B22" s="144">
        <v>11</v>
      </c>
      <c r="C22" s="145" t="str">
        <f t="shared" si="0"/>
        <v>THE0NKH701147000</v>
      </c>
      <c r="D22" s="62" t="s">
        <v>248</v>
      </c>
      <c r="E22" s="165" t="s">
        <v>48</v>
      </c>
      <c r="F22" s="307" t="s">
        <v>312</v>
      </c>
      <c r="H22" s="278">
        <v>2.5078170188</v>
      </c>
      <c r="I22" s="278">
        <v>-35.036736334399997</v>
      </c>
      <c r="J22" s="278">
        <v>6.2430159032999999</v>
      </c>
      <c r="K22" s="278">
        <v>0.11417810019159999</v>
      </c>
      <c r="L22" s="279">
        <v>40</v>
      </c>
      <c r="M22" s="278">
        <v>0</v>
      </c>
      <c r="N22" s="278">
        <v>0</v>
      </c>
      <c r="O22" s="278">
        <v>0</v>
      </c>
      <c r="P22" s="278">
        <v>0</v>
      </c>
      <c r="Q22" s="280">
        <v>1.0224102326442499</v>
      </c>
      <c r="R22" s="281">
        <v>1</v>
      </c>
      <c r="S22" s="281">
        <v>1</v>
      </c>
      <c r="T22" s="281">
        <v>1</v>
      </c>
      <c r="U22" s="281">
        <v>1</v>
      </c>
      <c r="V22" s="281">
        <v>1</v>
      </c>
      <c r="W22" s="281">
        <v>1</v>
      </c>
      <c r="X22" s="282">
        <v>1</v>
      </c>
      <c r="Y22" s="303"/>
      <c r="Z22" s="212"/>
    </row>
    <row r="23" spans="2:26" s="143" customFormat="1">
      <c r="B23" s="144">
        <v>12</v>
      </c>
      <c r="C23" s="145" t="str">
        <f t="shared" si="0"/>
        <v>THE0NKH701147000</v>
      </c>
      <c r="D23" s="62"/>
      <c r="E23" s="165"/>
      <c r="F23" s="307"/>
      <c r="H23" s="283"/>
      <c r="I23" s="283"/>
      <c r="J23" s="283"/>
      <c r="K23" s="283"/>
      <c r="L23" s="279"/>
      <c r="M23" s="283"/>
      <c r="N23" s="283"/>
      <c r="O23" s="283"/>
      <c r="P23" s="283"/>
      <c r="Q23" s="284"/>
      <c r="R23" s="285"/>
      <c r="S23" s="285"/>
      <c r="T23" s="285"/>
      <c r="U23" s="285"/>
      <c r="V23" s="285"/>
      <c r="W23" s="285"/>
      <c r="X23" s="286"/>
      <c r="Y23" s="303"/>
      <c r="Z23" s="212"/>
    </row>
    <row r="24" spans="2:26" s="143" customFormat="1">
      <c r="B24" s="144">
        <v>13</v>
      </c>
      <c r="C24" s="145" t="str">
        <f t="shared" si="0"/>
        <v>THE0NKH701147000</v>
      </c>
      <c r="D24" s="62"/>
      <c r="E24" s="165"/>
      <c r="F24" s="307"/>
      <c r="H24" s="283"/>
      <c r="I24" s="283"/>
      <c r="J24" s="283"/>
      <c r="K24" s="283"/>
      <c r="L24" s="279"/>
      <c r="M24" s="283"/>
      <c r="N24" s="283"/>
      <c r="O24" s="283"/>
      <c r="P24" s="283"/>
      <c r="Q24" s="284"/>
      <c r="R24" s="285"/>
      <c r="S24" s="285"/>
      <c r="T24" s="285"/>
      <c r="U24" s="285"/>
      <c r="V24" s="285"/>
      <c r="W24" s="285"/>
      <c r="X24" s="286"/>
      <c r="Y24" s="303"/>
      <c r="Z24" s="212"/>
    </row>
    <row r="25" spans="2:26" s="143" customFormat="1">
      <c r="B25" s="144">
        <v>14</v>
      </c>
      <c r="C25" s="145" t="str">
        <f t="shared" si="0"/>
        <v>THE0NKH701147000</v>
      </c>
      <c r="D25" s="62"/>
      <c r="E25" s="165"/>
      <c r="F25" s="307"/>
      <c r="H25" s="283"/>
      <c r="I25" s="283"/>
      <c r="J25" s="283"/>
      <c r="K25" s="283"/>
      <c r="L25" s="279"/>
      <c r="M25" s="283"/>
      <c r="N25" s="283"/>
      <c r="O25" s="283"/>
      <c r="P25" s="283"/>
      <c r="Q25" s="284"/>
      <c r="R25" s="285"/>
      <c r="S25" s="285"/>
      <c r="T25" s="285"/>
      <c r="U25" s="285"/>
      <c r="V25" s="285"/>
      <c r="W25" s="285"/>
      <c r="X25" s="286"/>
      <c r="Y25" s="303"/>
      <c r="Z25" s="212"/>
    </row>
    <row r="26" spans="2:26" s="143" customFormat="1">
      <c r="B26" s="144">
        <v>15</v>
      </c>
      <c r="C26" s="145" t="str">
        <f t="shared" si="0"/>
        <v>THE0NKH701147000</v>
      </c>
      <c r="D26" s="62"/>
      <c r="E26" s="166"/>
      <c r="F26" s="307"/>
      <c r="H26" s="283"/>
      <c r="I26" s="283"/>
      <c r="J26" s="283"/>
      <c r="K26" s="283"/>
      <c r="L26" s="279"/>
      <c r="M26" s="283"/>
      <c r="N26" s="283"/>
      <c r="O26" s="283"/>
      <c r="P26" s="283"/>
      <c r="Q26" s="284"/>
      <c r="R26" s="285"/>
      <c r="S26" s="285"/>
      <c r="T26" s="285"/>
      <c r="U26" s="285"/>
      <c r="V26" s="285"/>
      <c r="W26" s="285"/>
      <c r="X26" s="286"/>
      <c r="Y26" s="303"/>
      <c r="Z26" s="212"/>
    </row>
    <row r="27" spans="2:26" s="143" customFormat="1">
      <c r="B27" s="144">
        <v>16</v>
      </c>
      <c r="C27" s="145" t="str">
        <f t="shared" si="0"/>
        <v>THE0NKH701147000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THE0NKH701147000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THE0NKH701147000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THE0NKH701147000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THE0NKH701147000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THE0NKH701147000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THE0NKH701147000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THE0NKH701147000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THE0NKH701147000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THE0NKH701147000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THE0NKH701147000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THE0NKH701147000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THE0NKH701147000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THE0NKH701147000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THE0NKH701147000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41 F11:F41">
    <cfRule type="expression" dxfId="14" priority="10">
      <formula>ISERROR(F11)</formula>
    </cfRule>
  </conditionalFormatting>
  <conditionalFormatting sqref="Y12:Y41 E12:F41">
    <cfRule type="duplicateValues" dxfId="13" priority="40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13" zoomScale="80" zoomScaleNormal="80" workbookViewId="0">
      <selection activeCell="B142" sqref="B142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2" sqref="E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Stadtwerke Itzehoe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THE0NKH701147000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 t="str">
        <f>Netzbetreiber!$D$11</f>
        <v>9870087300009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7" t="s">
        <v>455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2" t="s">
        <v>583</v>
      </c>
      <c r="C10" s="363"/>
      <c r="D10" s="94">
        <v>2</v>
      </c>
      <c r="E10" s="95" t="str">
        <f>IF(ISERROR(HLOOKUP(E$11,$M$9:$AD$35,$D10,0)),"",HLOOKUP(E$11,$M$9:$AD$35,$D10,0))</f>
        <v/>
      </c>
      <c r="F10" s="360" t="s">
        <v>395</v>
      </c>
      <c r="G10" s="360"/>
      <c r="H10" s="360"/>
      <c r="I10" s="360"/>
      <c r="J10" s="360"/>
      <c r="K10" s="360"/>
      <c r="L10" s="361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9" priority="9">
      <formula>IF(E$11="NB",1,0)</formula>
    </cfRule>
  </conditionalFormatting>
  <conditionalFormatting sqref="F12:L35">
    <cfRule type="expression" dxfId="8" priority="6">
      <formula>IF($E12=1,1,0)</formula>
    </cfRule>
  </conditionalFormatting>
  <conditionalFormatting sqref="M12:AD35">
    <cfRule type="expression" dxfId="7" priority="3">
      <formula>IF(M$11=1,1)</formula>
    </cfRule>
  </conditionalFormatting>
  <conditionalFormatting sqref="M9:AD10">
    <cfRule type="expression" dxfId="6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64" t="s">
        <v>249</v>
      </c>
      <c r="B3" s="238" t="s">
        <v>86</v>
      </c>
      <c r="C3" s="239"/>
      <c r="D3" s="366" t="s">
        <v>454</v>
      </c>
      <c r="E3" s="367"/>
      <c r="F3" s="367"/>
      <c r="G3" s="367"/>
      <c r="H3" s="367"/>
      <c r="I3" s="367"/>
      <c r="J3" s="368"/>
      <c r="K3" s="240"/>
      <c r="L3" s="240"/>
      <c r="M3" s="240"/>
      <c r="N3" s="240"/>
      <c r="O3" s="241"/>
      <c r="P3" s="240"/>
    </row>
    <row r="4" spans="1:16" ht="20.100000000000001" customHeight="1">
      <c r="A4" s="365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5" priority="2" stopIfTrue="1" operator="equal">
      <formula>$M7</formula>
    </cfRule>
  </conditionalFormatting>
  <conditionalFormatting sqref="D9:J9">
    <cfRule type="cellIs" dxfId="4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818b9f00-f4e5-4488-840e-6084e0f1107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2015-03-20T22:59:10Z</cp:lastPrinted>
  <dcterms:created xsi:type="dcterms:W3CDTF">2015-01-15T05:25:41Z</dcterms:created>
  <dcterms:modified xsi:type="dcterms:W3CDTF">2022-04-01T10:05:20Z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